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940" windowHeight="8640"/>
  </bookViews>
  <sheets>
    <sheet name="Input sheet" sheetId="2" r:id="rId1"/>
    <sheet name="Variance" sheetId="3" r:id="rId2"/>
  </sheets>
  <definedNames>
    <definedName name="_xlnm._FilterDatabase" localSheetId="0" hidden="1">'Input sheet'!$B$14:$Y$17</definedName>
    <definedName name="_xlnm.Print_Area" localSheetId="0">'Input sheet'!$B$1:$V$17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violaine muller - Personal View" guid="{C17DE7FF-8686-4457-ABDB-1DD18AAC5064}" mergeInterval="0" personalView="1" maximized="1" windowWidth="1276" windowHeight="825" activeSheetId="4"/>
    <customWorkbookView name="U974481 - Personal View" guid="{7F2D42B8-89D6-478F-BF92-AEFB5C8567D7}" mergeInterval="0" personalView="1" maximized="1" windowWidth="1276" windowHeight="825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N012470 - Personal View" guid="{BDABB69F-351C-4245-8E98-908B73F7D928}" mergeInterval="0" personalView="1" maximized="1" windowWidth="1020" windowHeight="543" activeSheetId="2"/>
    <customWorkbookView name="U858606 - Personal View" guid="{BEF16849-AADD-409A-9FED-E0AA7CE06374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Karine Calabro - Personal View" guid="{5040618F-C21F-4127-A08E-C1A49D6532ED}" mergeInterval="0" personalView="1" maximized="1" windowWidth="1020" windowHeight="596" activeSheetId="2"/>
    <customWorkbookView name="U974264 - Personal View" guid="{4E345847-DC14-4F92-8AA3-A6485E892173}" mergeInterval="0" personalView="1" maximized="1" windowWidth="1020" windowHeight="569" activeSheetId="2" showComments="commIndAndComment"/>
    <customWorkbookView name="U604558 - Personal View" guid="{559EEF9F-C7C2-4BD6-952D-617B8679B778}" mergeInterval="0" personalView="1" maximized="1" windowWidth="1020" windowHeight="517" activeSheetId="4"/>
    <customWorkbookView name="J915903 - Personal View" guid="{84C9EF3A-F38A-43A5-832F-A77CA7DF5E86}" mergeInterval="0" personalView="1" maximized="1" windowWidth="1020" windowHeight="513" activeSheetId="4"/>
    <customWorkbookView name="Fred Solda ( Give me a break) - Personal View" guid="{C3144E91-0E6E-4281-AB0D-DB98390F67A6}" mergeInterval="0" personalView="1" maximized="1" windowWidth="1020" windowHeight="517" activeSheetId="2"/>
    <customWorkbookView name="TINANTR - Personal View" guid="{27FB77CF-13ED-11D7-8BD9-0008740F33B1}" mergeInterval="0" personalView="1" maximized="1" windowWidth="1020" windowHeight="605" activeSheetId="1"/>
    <customWorkbookView name="COAKLEYP - Personal View" guid="{C1B02E65-13F2-11D7-8B84-000874A3A8D1}" mergeInterval="0" personalView="1" maximized="1" windowWidth="1020" windowHeight="606" activeSheetId="1"/>
    <customWorkbookView name="U765632 - Personal View" guid="{903D3122-EB5C-4225-B36A-FD32EE63557F}" mergeInterval="0" personalView="1" maximized="1" windowWidth="1020" windowHeight="544" activeSheetId="4"/>
    <customWorkbookView name="N027579 - Personal View" guid="{14BC44AE-8F46-418A-9C87-42CD4E2B28D5}" mergeInterval="0" personalView="1" maximized="1" windowWidth="1020" windowHeight="570" activeSheetId="4"/>
    <customWorkbookView name="V039054 - Personal View" guid="{6F14E0E3-7B3A-44F8-992C-BCA5079AF62B}" mergeInterval="0" personalView="1" maximized="1" windowWidth="1276" windowHeight="773" activeSheetId="2"/>
    <customWorkbookView name="E142173 - Personal View" guid="{1CE10FC8-CA58-46F7-82B9-3A7A964D1263}" mergeInterval="0" personalView="1" maximized="1" windowWidth="1276" windowHeight="873" activeSheetId="2"/>
  </customWorkbookViews>
</workbook>
</file>

<file path=xl/calcChain.xml><?xml version="1.0" encoding="utf-8"?>
<calcChain xmlns="http://schemas.openxmlformats.org/spreadsheetml/2006/main">
  <c r="R17" i="2" l="1"/>
  <c r="R20" i="2"/>
  <c r="R19" i="2"/>
  <c r="R16" i="2"/>
  <c r="R18" i="2"/>
  <c r="R15" i="2"/>
  <c r="G7" i="3"/>
  <c r="G10" i="3"/>
  <c r="G9" i="3"/>
  <c r="G6" i="3"/>
  <c r="G8" i="3"/>
  <c r="G5" i="3"/>
  <c r="I3" i="3"/>
  <c r="H3" i="3"/>
  <c r="F3" i="3"/>
  <c r="G3" i="3" s="1"/>
  <c r="O16" i="2" l="1"/>
  <c r="M16" i="2" s="1"/>
  <c r="O17" i="2"/>
  <c r="M17" i="2" s="1"/>
  <c r="O18" i="2"/>
  <c r="M18" i="2" s="1"/>
  <c r="O19" i="2"/>
  <c r="M19" i="2" s="1"/>
  <c r="O20" i="2"/>
  <c r="M20" i="2" s="1"/>
  <c r="O15" i="2"/>
  <c r="D10" i="3" l="1"/>
  <c r="H10" i="3" s="1"/>
  <c r="N20" i="2"/>
  <c r="D6" i="3"/>
  <c r="H6" i="3" s="1"/>
  <c r="N16" i="2"/>
  <c r="N17" i="2"/>
  <c r="D7" i="3"/>
  <c r="H7" i="3" s="1"/>
  <c r="D8" i="3"/>
  <c r="H8" i="3" s="1"/>
  <c r="N18" i="2"/>
  <c r="D9" i="3"/>
  <c r="H9" i="3" s="1"/>
  <c r="N19" i="2"/>
  <c r="M15" i="2"/>
  <c r="D5" i="3" s="1"/>
  <c r="H5" i="3" s="1"/>
  <c r="E7" i="3" l="1"/>
  <c r="I7" i="3" s="1"/>
  <c r="P17" i="2"/>
  <c r="E9" i="3"/>
  <c r="I9" i="3" s="1"/>
  <c r="P19" i="2"/>
  <c r="E10" i="3"/>
  <c r="I10" i="3" s="1"/>
  <c r="P20" i="2"/>
  <c r="P18" i="2"/>
  <c r="E8" i="3"/>
  <c r="I8" i="3" s="1"/>
  <c r="E6" i="3"/>
  <c r="I6" i="3" s="1"/>
  <c r="P16" i="2"/>
  <c r="N15" i="2"/>
  <c r="P15" i="2" l="1"/>
  <c r="E5" i="3"/>
  <c r="I5" i="3" s="1"/>
</calcChain>
</file>

<file path=xl/sharedStrings.xml><?xml version="1.0" encoding="utf-8"?>
<sst xmlns="http://schemas.openxmlformats.org/spreadsheetml/2006/main" count="115" uniqueCount="58">
  <si>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</si>
  <si>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</si>
  <si>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</si>
  <si>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</si>
  <si>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</si>
  <si>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</si>
  <si>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</si>
  <si>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</si>
  <si>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</si>
  <si>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</si>
  <si>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</si>
  <si>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</si>
  <si>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</si>
  <si>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</si>
  <si>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</si>
  <si>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</si>
  <si>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</si>
  <si>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</si>
  <si>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</si>
  <si>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</si>
  <si>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</si>
  <si>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</si>
  <si>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</si>
  <si>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</si>
  <si>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Sky Harbour Distribution</t>
  </si>
  <si>
    <t>Source: WM N0</t>
  </si>
  <si>
    <t>Class B - Dist EUR h</t>
  </si>
  <si>
    <t>LU0765417950</t>
  </si>
  <si>
    <t>SDBDE</t>
  </si>
  <si>
    <t>TA Code</t>
  </si>
  <si>
    <t>A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</si>
  <si>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</si>
  <si>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</si>
  <si>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</si>
  <si>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</si>
  <si>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</si>
  <si>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</si>
  <si>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</si>
  <si>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</si>
  <si>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</si>
  <si>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</si>
  <si>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</si>
  <si>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</si>
  <si>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</si>
  <si>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</si>
  <si>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</si>
  <si>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</si>
  <si>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</si>
  <si>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</si>
  <si>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</si>
  <si>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</si>
  <si>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ISIN NUMBER</t>
  </si>
  <si>
    <t xml:space="preserve"> Dist Rate</t>
  </si>
  <si>
    <t xml:space="preserve">NAV/sh as at </t>
  </si>
  <si>
    <t>Additional Variance</t>
  </si>
  <si>
    <t>Base</t>
  </si>
  <si>
    <t>SKY Harbor Global Funds – U.S. Short Duration High Yield Fund</t>
  </si>
  <si>
    <t>SKY Harbor Global Funds – U.S. High Yield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</si>
</sst>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00000"/>
    <numFmt numFmtId="166" formatCode="#,##0.000000"/>
    <numFmt numFmtId="167" formatCode="#,##0.0000"/>
    <numFmt numFmtId="168" formatCode="0.0000"/>
    <numFmt numFmtId="169" formatCode="_-* #,##0.000000_-;\-* #,##0.0000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15" fillId="0" borderId="6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7" fontId="4" fillId="0" borderId="2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7" fontId="4" fillId="4" borderId="2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7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7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2" xfId="0" applyFont="1" applyFill="1" applyBorder="1" applyProtection="1"/>
    <xf numFmtId="14" fontId="4" fillId="0" borderId="2" xfId="0" applyNumberFormat="1" applyFont="1" applyBorder="1" applyAlignment="1" applyProtection="1">
      <alignment horizontal="center"/>
    </xf>
    <xf numFmtId="0" fontId="21" fillId="0" borderId="2" xfId="0" applyFont="1" applyFill="1" applyBorder="1" applyProtection="1"/>
    <xf numFmtId="0" fontId="22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0" fontId="23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Protection="1"/>
    <xf numFmtId="168" fontId="8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9" fontId="3" fillId="4" borderId="2" xfId="2" applyNumberFormat="1" applyFont="1" applyFill="1" applyBorder="1" applyAlignment="1" applyProtection="1">
      <alignment horizontal="right"/>
    </xf>
    <xf numFmtId="169" fontId="3" fillId="5" borderId="2" xfId="2" applyNumberFormat="1" applyFont="1" applyFill="1" applyBorder="1" applyAlignment="1" applyProtection="1">
      <alignment horizontal="right"/>
    </xf>
    <xf numFmtId="169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29"/>
  <sheetViews>
    <sheetView showGridLines="0" tabSelected="1" zoomScale="75" zoomScaleNormal="75" workbookViewId="0">
      <pane ySplit="14" topLeftCell="A15" activePane="bottomLeft" state="frozen"/>
      <selection pane="bottomLeft" activeCell="G36" sqref="G36"/>
    </sheetView>
  </sheetViews>
  <sheetFormatPr defaultRowHeight="15" x14ac:dyDescent="0.25"/>
  <cols>
    <col min="1" max="1" width="9.140625" style="5"/>
    <col min="2" max="2" width="13.85546875" style="25" customWidth="1"/>
    <col min="3" max="3" width="11.5703125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64.710937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16.28515625" style="32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24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25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41288</v>
      </c>
      <c r="D6" s="59" t="s">
        <v>21</v>
      </c>
      <c r="E6" s="72">
        <v>0.74816700000000003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41289</v>
      </c>
      <c r="D7" s="82" t="s">
        <v>49</v>
      </c>
      <c r="E7" s="72">
        <v>6.4606000000000003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41299</v>
      </c>
      <c r="D8" s="85" t="s">
        <v>50</v>
      </c>
      <c r="E8" s="72">
        <v>5.5831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x14ac:dyDescent="0.25">
      <c r="B9" s="62"/>
      <c r="C9" s="43"/>
      <c r="D9" s="43"/>
      <c r="E9" s="44"/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x14ac:dyDescent="0.25"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29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08" t="s">
        <v>31</v>
      </c>
      <c r="U12" s="109"/>
      <c r="V12" s="110"/>
      <c r="Y12" s="102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customHeight="1" thickBot="1" x14ac:dyDescent="0.3">
      <c r="B15" s="63" t="s">
        <v>30</v>
      </c>
      <c r="C15" s="26">
        <v>83738</v>
      </c>
      <c r="D15" s="26">
        <v>32</v>
      </c>
      <c r="E15" s="59" t="s">
        <v>0</v>
      </c>
      <c r="F15" s="59" t="s">
        <v>2</v>
      </c>
      <c r="G15" s="88" t="s">
        <v>56</v>
      </c>
      <c r="H15" s="80" t="s">
        <v>26</v>
      </c>
      <c r="I15" s="80" t="s">
        <v>27</v>
      </c>
      <c r="J15" s="80" t="s">
        <v>28</v>
      </c>
      <c r="K15" s="46">
        <v>186183.91548420247</v>
      </c>
      <c r="L15" s="46">
        <v>62271.1</v>
      </c>
      <c r="M15" s="79">
        <f>ROUND(O15/L15,6)</f>
        <v>2.9898929999999999</v>
      </c>
      <c r="N15" s="104">
        <f>ROUND(M15*$E$6,6)</f>
        <v>2.236939</v>
      </c>
      <c r="O15" s="107">
        <f>IF(K15&lt;0,0,K15)</f>
        <v>186183.91548420247</v>
      </c>
      <c r="P15" s="76">
        <f t="shared" ref="P15:P20" si="0">N15*L15</f>
        <v>139296.65216289999</v>
      </c>
      <c r="Q15" s="70">
        <v>2.9897999999999998</v>
      </c>
      <c r="R15" s="78">
        <f>ROUND(Q15*$E$6,4)</f>
        <v>2.2368999999999999</v>
      </c>
      <c r="T15" s="77" t="s">
        <v>17</v>
      </c>
      <c r="U15" s="77" t="s">
        <v>17</v>
      </c>
      <c r="V15" s="77" t="s">
        <v>17</v>
      </c>
      <c r="W15" s="73"/>
      <c r="X15" s="103"/>
      <c r="Y15" s="101"/>
    </row>
    <row r="16" spans="2:25" ht="15.75" thickBot="1" x14ac:dyDescent="0.3">
      <c r="B16" s="63" t="s">
        <v>30</v>
      </c>
      <c r="C16" s="26">
        <v>83738</v>
      </c>
      <c r="D16" s="26">
        <v>35</v>
      </c>
      <c r="E16" s="82" t="s">
        <v>0</v>
      </c>
      <c r="F16" s="82" t="s">
        <v>33</v>
      </c>
      <c r="G16" s="88" t="s">
        <v>56</v>
      </c>
      <c r="H16" s="80" t="s">
        <v>35</v>
      </c>
      <c r="I16" s="80" t="s">
        <v>43</v>
      </c>
      <c r="J16" s="80" t="s">
        <v>39</v>
      </c>
      <c r="K16" s="46">
        <v>316.50999999999982</v>
      </c>
      <c r="L16" s="46">
        <v>1042.4100000000001</v>
      </c>
      <c r="M16" s="79">
        <f t="shared" ref="M16:M20" si="1">ROUND(O16/L16,6)</f>
        <v>0.30363299999999999</v>
      </c>
      <c r="N16" s="105">
        <f>ROUND(M16*$E$7,6)</f>
        <v>1.961651</v>
      </c>
      <c r="O16" s="107">
        <f t="shared" ref="O16:O20" si="2">IF(K16&lt;0,0,K16)</f>
        <v>316.50999999999982</v>
      </c>
      <c r="P16" s="83">
        <f t="shared" si="0"/>
        <v>2044.8446189100002</v>
      </c>
      <c r="Q16" s="70">
        <v>0.29809999999999998</v>
      </c>
      <c r="R16" s="84">
        <f>ROUND(Q16*$E$7,4)</f>
        <v>1.9258999999999999</v>
      </c>
      <c r="T16" s="77" t="s">
        <v>17</v>
      </c>
      <c r="U16" s="81" t="s">
        <v>32</v>
      </c>
      <c r="V16" s="81" t="s">
        <v>32</v>
      </c>
      <c r="W16" s="73"/>
      <c r="X16" s="103"/>
      <c r="Y16" s="101"/>
    </row>
    <row r="17" spans="2:25" ht="15.75" thickBot="1" x14ac:dyDescent="0.3">
      <c r="B17" s="63" t="s">
        <v>30</v>
      </c>
      <c r="C17" s="26">
        <v>83738</v>
      </c>
      <c r="D17" s="26">
        <v>37</v>
      </c>
      <c r="E17" s="85" t="s">
        <v>0</v>
      </c>
      <c r="F17" s="85" t="s">
        <v>34</v>
      </c>
      <c r="G17" s="88" t="s">
        <v>56</v>
      </c>
      <c r="H17" s="80" t="s">
        <v>36</v>
      </c>
      <c r="I17" s="80" t="s">
        <v>44</v>
      </c>
      <c r="J17" s="80" t="s">
        <v>40</v>
      </c>
      <c r="K17" s="46">
        <v>348699.69293357321</v>
      </c>
      <c r="L17" s="46">
        <v>1834156.09</v>
      </c>
      <c r="M17" s="79">
        <f t="shared" si="1"/>
        <v>0.19011500000000001</v>
      </c>
      <c r="N17" s="106">
        <f>ROUND(M17*$E$8,6)</f>
        <v>1.061431</v>
      </c>
      <c r="O17" s="107">
        <f t="shared" si="2"/>
        <v>348699.69293357321</v>
      </c>
      <c r="P17" s="86">
        <f t="shared" si="0"/>
        <v>1946830.1327647902</v>
      </c>
      <c r="Q17" s="70">
        <v>0.18360000000000001</v>
      </c>
      <c r="R17" s="87">
        <f>ROUND(Q17*$E$8,4)</f>
        <v>1.0250999999999999</v>
      </c>
      <c r="T17" s="77" t="s">
        <v>17</v>
      </c>
      <c r="U17" s="81" t="s">
        <v>32</v>
      </c>
      <c r="V17" s="81" t="s">
        <v>32</v>
      </c>
      <c r="W17" s="73"/>
      <c r="X17" s="103"/>
      <c r="Y17" s="101"/>
    </row>
    <row r="18" spans="2:25" ht="15.75" thickBot="1" x14ac:dyDescent="0.3">
      <c r="B18" s="63" t="s">
        <v>30</v>
      </c>
      <c r="C18" s="26">
        <v>83738</v>
      </c>
      <c r="D18" s="26">
        <v>40</v>
      </c>
      <c r="E18" s="59" t="s">
        <v>0</v>
      </c>
      <c r="F18" s="59" t="s">
        <v>2</v>
      </c>
      <c r="G18" s="88" t="s">
        <v>56</v>
      </c>
      <c r="H18" s="80" t="s">
        <v>37</v>
      </c>
      <c r="I18" s="80" t="s">
        <v>45</v>
      </c>
      <c r="J18" s="80" t="s">
        <v>41</v>
      </c>
      <c r="K18" s="46">
        <v>1128.2295199635419</v>
      </c>
      <c r="L18" s="46">
        <v>469.17</v>
      </c>
      <c r="M18" s="79">
        <f t="shared" si="1"/>
        <v>2.4047350000000001</v>
      </c>
      <c r="N18" s="104">
        <f>ROUND(M18*$E$6,6)</f>
        <v>1.7991429999999999</v>
      </c>
      <c r="O18" s="107">
        <f t="shared" si="2"/>
        <v>1128.2295199635419</v>
      </c>
      <c r="P18" s="76">
        <f t="shared" si="0"/>
        <v>844.10392131000003</v>
      </c>
      <c r="Q18" s="70">
        <v>2.3578000000000001</v>
      </c>
      <c r="R18" s="78">
        <f>ROUND(Q18*$E$6,4)</f>
        <v>1.764</v>
      </c>
      <c r="T18" s="77" t="s">
        <v>17</v>
      </c>
      <c r="U18" s="77" t="s">
        <v>17</v>
      </c>
      <c r="V18" s="77" t="s">
        <v>17</v>
      </c>
      <c r="W18" s="73"/>
      <c r="X18" s="103"/>
      <c r="Y18" s="101"/>
    </row>
    <row r="19" spans="2:25" ht="15.75" thickBot="1" x14ac:dyDescent="0.3">
      <c r="B19" s="63" t="s">
        <v>30</v>
      </c>
      <c r="C19" s="26">
        <v>83738</v>
      </c>
      <c r="D19" s="26">
        <v>43</v>
      </c>
      <c r="E19" s="82" t="s">
        <v>0</v>
      </c>
      <c r="F19" s="82" t="s">
        <v>33</v>
      </c>
      <c r="G19" s="88" t="s">
        <v>56</v>
      </c>
      <c r="H19" s="80" t="s">
        <v>38</v>
      </c>
      <c r="I19" s="80" t="s">
        <v>46</v>
      </c>
      <c r="J19" s="80" t="s">
        <v>42</v>
      </c>
      <c r="K19" s="46">
        <v>19045.06366375893</v>
      </c>
      <c r="L19" s="46">
        <v>68886.649999999994</v>
      </c>
      <c r="M19" s="79">
        <f t="shared" si="1"/>
        <v>0.27646999999999999</v>
      </c>
      <c r="N19" s="105">
        <f>ROUND(M19*$E$7,6)</f>
        <v>1.786162</v>
      </c>
      <c r="O19" s="107">
        <f t="shared" si="2"/>
        <v>19045.06366375893</v>
      </c>
      <c r="P19" s="83">
        <f t="shared" si="0"/>
        <v>123042.71653729999</v>
      </c>
      <c r="Q19" s="70">
        <v>0.27160000000000001</v>
      </c>
      <c r="R19" s="84">
        <f>ROUND(Q19*$E$7,4)</f>
        <v>1.7546999999999999</v>
      </c>
      <c r="T19" s="77" t="s">
        <v>17</v>
      </c>
      <c r="U19" s="81" t="s">
        <v>32</v>
      </c>
      <c r="V19" s="81" t="s">
        <v>32</v>
      </c>
      <c r="W19" s="73"/>
      <c r="X19" s="103"/>
      <c r="Y19" s="101"/>
    </row>
    <row r="20" spans="2:25" ht="15.75" thickBot="1" x14ac:dyDescent="0.3">
      <c r="B20" s="63" t="s">
        <v>30</v>
      </c>
      <c r="C20" s="26">
        <v>83739</v>
      </c>
      <c r="D20" s="26">
        <v>43</v>
      </c>
      <c r="E20" s="82" t="s">
        <v>0</v>
      </c>
      <c r="F20" s="82" t="s">
        <v>33</v>
      </c>
      <c r="G20" s="88" t="s">
        <v>57</v>
      </c>
      <c r="H20" s="80" t="s">
        <v>38</v>
      </c>
      <c r="I20" s="80" t="s">
        <v>48</v>
      </c>
      <c r="J20" s="80" t="s">
        <v>47</v>
      </c>
      <c r="K20" s="46">
        <v>410.77000000000015</v>
      </c>
      <c r="L20" s="46">
        <v>1098.3699999999999</v>
      </c>
      <c r="M20" s="79">
        <f t="shared" si="1"/>
        <v>0.37398100000000001</v>
      </c>
      <c r="N20" s="105">
        <f>ROUND(M20*$E$7,6)</f>
        <v>2.4161419999999998</v>
      </c>
      <c r="O20" s="107">
        <f t="shared" si="2"/>
        <v>410.77000000000015</v>
      </c>
      <c r="P20" s="83">
        <f t="shared" si="0"/>
        <v>2653.8178885399993</v>
      </c>
      <c r="Q20" s="70">
        <v>0.36780000000000002</v>
      </c>
      <c r="R20" s="84">
        <f>ROUND(Q20*$E$7,4)</f>
        <v>2.3761999999999999</v>
      </c>
      <c r="T20" s="77" t="s">
        <v>17</v>
      </c>
      <c r="U20" s="81" t="s">
        <v>32</v>
      </c>
      <c r="V20" s="81" t="s">
        <v>32</v>
      </c>
      <c r="W20" s="73"/>
      <c r="X20" s="103"/>
      <c r="Y20" s="101"/>
    </row>
    <row r="22" spans="2:25" x14ac:dyDescent="0.25">
      <c r="D22" s="74"/>
    </row>
    <row r="23" spans="2:25" x14ac:dyDescent="0.25">
      <c r="C23" s="75"/>
      <c r="D23" s="74"/>
      <c r="G23" s="74"/>
    </row>
    <row r="24" spans="2:25" x14ac:dyDescent="0.25">
      <c r="C24" s="75"/>
      <c r="D24" s="74"/>
      <c r="G24" s="74"/>
    </row>
    <row r="25" spans="2:25" x14ac:dyDescent="0.25">
      <c r="C25" s="75"/>
      <c r="D25" s="74"/>
      <c r="G25" s="74"/>
    </row>
    <row r="26" spans="2:25" x14ac:dyDescent="0.25">
      <c r="C26" s="75"/>
      <c r="D26" s="74"/>
      <c r="G26" s="74"/>
    </row>
    <row r="27" spans="2:25" x14ac:dyDescent="0.25">
      <c r="C27" s="75"/>
      <c r="D27" s="74"/>
      <c r="G27" s="74"/>
    </row>
    <row r="28" spans="2:25" x14ac:dyDescent="0.25">
      <c r="D28" s="74"/>
    </row>
    <row r="29" spans="2:25" x14ac:dyDescent="0.25">
      <c r="D29" s="74"/>
    </row>
  </sheetData>
  <customSheetViews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3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4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5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6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9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10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11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1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13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14"/>
      <headerFooter alignWithMargins="0"/>
    </customSheetView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3" orientation="landscape" r:id="rId16"/>
  <headerFooter alignWithMargins="0">
    <oddHeader>&amp;C&amp;F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7.85546875" bestFit="1" customWidth="1"/>
    <col min="2" max="2" width="6.42578125" bestFit="1" customWidth="1"/>
    <col min="3" max="3" width="17.85546875" bestFit="1" customWidth="1"/>
    <col min="4" max="5" width="9.7109375" bestFit="1" customWidth="1"/>
    <col min="6" max="7" width="13.42578125" bestFit="1" customWidth="1"/>
    <col min="8" max="9" width="19.42578125" bestFit="1" customWidth="1"/>
  </cols>
  <sheetData>
    <row r="1" spans="1:12" ht="13.5" thickBot="1" x14ac:dyDescent="0.25"/>
    <row r="2" spans="1:12" ht="13.5" thickBot="1" x14ac:dyDescent="0.25">
      <c r="B2" s="89" t="s">
        <v>3</v>
      </c>
      <c r="C2" s="89" t="s">
        <v>51</v>
      </c>
      <c r="D2" s="89" t="s">
        <v>52</v>
      </c>
      <c r="E2" s="89" t="s">
        <v>52</v>
      </c>
      <c r="F2" s="90" t="s">
        <v>53</v>
      </c>
      <c r="G2" s="90" t="s">
        <v>53</v>
      </c>
      <c r="H2" s="89" t="s">
        <v>54</v>
      </c>
      <c r="I2" s="89" t="s">
        <v>54</v>
      </c>
    </row>
    <row r="3" spans="1:12" s="5" customFormat="1" ht="13.5" thickBot="1" x14ac:dyDescent="0.25">
      <c r="A3" s="91"/>
      <c r="B3" s="89"/>
      <c r="C3" s="89"/>
      <c r="D3" s="92"/>
      <c r="E3" s="92"/>
      <c r="F3" s="93">
        <f>'Input sheet'!C6</f>
        <v>41288</v>
      </c>
      <c r="G3" s="93">
        <f>F3</f>
        <v>41288</v>
      </c>
      <c r="H3" s="93">
        <f>'Input sheet'!C7</f>
        <v>41289</v>
      </c>
      <c r="I3" s="93">
        <f>H3</f>
        <v>41289</v>
      </c>
    </row>
    <row r="4" spans="1:12" s="5" customFormat="1" ht="13.5" thickBot="1" x14ac:dyDescent="0.25">
      <c r="A4" s="91"/>
      <c r="B4" s="89"/>
      <c r="C4" s="89"/>
      <c r="D4" s="89" t="s">
        <v>55</v>
      </c>
      <c r="E4" s="94" t="s">
        <v>3</v>
      </c>
      <c r="F4" s="89" t="s">
        <v>55</v>
      </c>
      <c r="G4" s="94" t="s">
        <v>3</v>
      </c>
      <c r="H4" s="89" t="s">
        <v>55</v>
      </c>
      <c r="I4" s="94" t="s">
        <v>3</v>
      </c>
    </row>
    <row r="5" spans="1:12" ht="16.5" thickBot="1" x14ac:dyDescent="0.3">
      <c r="A5" s="95">
        <v>83738</v>
      </c>
      <c r="B5" s="96">
        <v>32</v>
      </c>
      <c r="C5" s="97" t="s">
        <v>27</v>
      </c>
      <c r="D5" s="98">
        <f>VLOOKUP($C5,'Input sheet'!$I:$N,5,0)</f>
        <v>2.9898929999999999</v>
      </c>
      <c r="E5" s="98">
        <f>VLOOKUP($C5,'Input sheet'!$I:$N,6,0)</f>
        <v>2.236939</v>
      </c>
      <c r="F5" s="99">
        <v>140.1388</v>
      </c>
      <c r="G5" s="99">
        <f>F5*'Input sheet'!$E$6</f>
        <v>104.84722557960001</v>
      </c>
      <c r="H5" s="100">
        <f t="shared" ref="H5" si="0">IF(F5&lt;&gt;"",-D5/F5,"")</f>
        <v>-2.1335226218577582E-2</v>
      </c>
      <c r="I5" s="100">
        <f>IF(G5&lt;&gt;"",-E5/G5,"")</f>
        <v>-2.1335223584926587E-2</v>
      </c>
      <c r="K5" s="5"/>
      <c r="L5" s="5"/>
    </row>
    <row r="6" spans="1:12" ht="16.5" thickBot="1" x14ac:dyDescent="0.3">
      <c r="A6" s="95">
        <v>83738</v>
      </c>
      <c r="B6" s="96">
        <v>35</v>
      </c>
      <c r="C6" s="97" t="s">
        <v>43</v>
      </c>
      <c r="D6" s="98">
        <f>VLOOKUP($C6,'Input sheet'!$I:$N,5,0)</f>
        <v>0.30363299999999999</v>
      </c>
      <c r="E6" s="98">
        <f>VLOOKUP($C6,'Input sheet'!$I:$N,6,0)</f>
        <v>1.961651</v>
      </c>
      <c r="F6" s="99">
        <v>16.178100000000001</v>
      </c>
      <c r="G6" s="99">
        <f>F6*'Input sheet'!$E$7</f>
        <v>104.52023286000001</v>
      </c>
      <c r="H6" s="100">
        <f t="shared" ref="H6:I10" si="1">IF(F6&lt;&gt;"",-D6/F6,"")</f>
        <v>-1.8768149535483152E-2</v>
      </c>
      <c r="I6" s="100">
        <f t="shared" si="1"/>
        <v>-1.8768146093087454E-2</v>
      </c>
      <c r="K6" s="5"/>
      <c r="L6" s="5"/>
    </row>
    <row r="7" spans="1:12" ht="16.5" thickBot="1" x14ac:dyDescent="0.3">
      <c r="A7" s="95">
        <v>83738</v>
      </c>
      <c r="B7" s="96">
        <v>37</v>
      </c>
      <c r="C7" s="97" t="s">
        <v>44</v>
      </c>
      <c r="D7" s="98">
        <f>VLOOKUP($C7,'Input sheet'!$I:$N,5,0)</f>
        <v>0.19011500000000001</v>
      </c>
      <c r="E7" s="98">
        <f>VLOOKUP($C7,'Input sheet'!$I:$N,6,0)</f>
        <v>1.061431</v>
      </c>
      <c r="F7" s="99">
        <v>18.285799999999998</v>
      </c>
      <c r="G7" s="99">
        <f>F7*'Input sheet'!$E$8</f>
        <v>102.09144997999999</v>
      </c>
      <c r="H7" s="100">
        <f t="shared" si="1"/>
        <v>-1.0396865327193781E-2</v>
      </c>
      <c r="I7" s="100">
        <f t="shared" si="1"/>
        <v>-1.0396864773768395E-2</v>
      </c>
      <c r="K7" s="5"/>
      <c r="L7" s="5"/>
    </row>
    <row r="8" spans="1:12" ht="16.5" thickBot="1" x14ac:dyDescent="0.3">
      <c r="A8" s="95">
        <v>83738</v>
      </c>
      <c r="B8" s="96">
        <v>40</v>
      </c>
      <c r="C8" s="97" t="s">
        <v>45</v>
      </c>
      <c r="D8" s="98">
        <f>VLOOKUP($C8,'Input sheet'!$I:$N,5,0)</f>
        <v>2.4047350000000001</v>
      </c>
      <c r="E8" s="98">
        <f>VLOOKUP($C8,'Input sheet'!$I:$N,6,0)</f>
        <v>1.7991429999999999</v>
      </c>
      <c r="F8" s="99">
        <v>138.6207</v>
      </c>
      <c r="G8" s="99">
        <f>F8*'Input sheet'!$E$6</f>
        <v>103.71143325690001</v>
      </c>
      <c r="H8" s="100">
        <f t="shared" si="1"/>
        <v>-1.734758950142367E-2</v>
      </c>
      <c r="I8" s="100">
        <f t="shared" si="1"/>
        <v>-1.7347585926649041E-2</v>
      </c>
      <c r="K8" s="5"/>
      <c r="L8" s="5"/>
    </row>
    <row r="9" spans="1:12" ht="16.5" thickBot="1" x14ac:dyDescent="0.3">
      <c r="A9" s="95">
        <v>83738</v>
      </c>
      <c r="B9" s="96">
        <v>43</v>
      </c>
      <c r="C9" s="97" t="s">
        <v>46</v>
      </c>
      <c r="D9" s="98">
        <f>VLOOKUP($C9,'Input sheet'!$I:$N,5,0)</f>
        <v>0.27646999999999999</v>
      </c>
      <c r="E9" s="98">
        <f>VLOOKUP($C9,'Input sheet'!$I:$N,6,0)</f>
        <v>1.786162</v>
      </c>
      <c r="F9" s="99">
        <v>16.140899999999998</v>
      </c>
      <c r="G9" s="99">
        <f>F9*'Input sheet'!$E$7</f>
        <v>104.27989853999999</v>
      </c>
      <c r="H9" s="100">
        <f t="shared" si="1"/>
        <v>-1.7128536822605928E-2</v>
      </c>
      <c r="I9" s="100">
        <f t="shared" si="1"/>
        <v>-1.7128536036260706E-2</v>
      </c>
      <c r="K9" s="5"/>
      <c r="L9" s="5"/>
    </row>
    <row r="10" spans="1:12" ht="16.5" thickBot="1" x14ac:dyDescent="0.3">
      <c r="A10" s="95">
        <v>83739</v>
      </c>
      <c r="B10" s="96">
        <v>43</v>
      </c>
      <c r="C10" s="97" t="s">
        <v>48</v>
      </c>
      <c r="D10" s="98">
        <f>VLOOKUP($C10,'Input sheet'!$I:$N,5,0)</f>
        <v>0.37398100000000001</v>
      </c>
      <c r="E10" s="98">
        <f>VLOOKUP($C10,'Input sheet'!$I:$N,6,0)</f>
        <v>2.4161419999999998</v>
      </c>
      <c r="F10" s="99">
        <v>16.665600000000001</v>
      </c>
      <c r="G10" s="99">
        <f>F10*'Input sheet'!$E$7</f>
        <v>107.66977536000002</v>
      </c>
      <c r="H10" s="100">
        <f t="shared" si="1"/>
        <v>-2.2440296178955453E-2</v>
      </c>
      <c r="I10" s="100">
        <f t="shared" si="1"/>
        <v>-2.2440299442638305E-2</v>
      </c>
      <c r="K10" s="5"/>
      <c r="L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Variance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</dc:creator>
  <cp:lastModifiedBy>Claire LaBrunerie</cp:lastModifiedBy>
  <cp:lastPrinted>2013-01-02T12:38:30Z</cp:lastPrinted>
  <dcterms:created xsi:type="dcterms:W3CDTF">2002-09-25T08:48:12Z</dcterms:created>
  <dcterms:modified xsi:type="dcterms:W3CDTF">2014-01-14T16:18:30Z</dcterms:modified>
</cp:coreProperties>
</file>